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 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<sst xmlns="http://schemas.openxmlformats.org/spreadsheetml/2006/main" count="816" uniqueCount="228">
  <si>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</si>
  <si>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</si>
  <si>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</si>
  <si>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</si>
  <si>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</si>
  <si>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</si>
  <si>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</si>
  <si>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</si>
  <si>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</si>
  <si>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</si>
  <si>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</si>
  <si>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</si>
  <si>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</si>
  <si>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</si>
  <si>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</si>
  <si>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</si>
  <si>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</si>
  <si>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</si>
  <si>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</si>
  <si>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</si>
  <si>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</si>
  <si>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</si>
  <si>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</si>
  <si>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</si>
  <si>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</si>
  <si>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</si>
  <si>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</si>
  <si>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</si>
  <si>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</si>
  <si>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</si>
  <si>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</si>
  <si>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</si>
  <si>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</si>
  <si>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</si>
  <si>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</si>
  <si>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</si>
  <si>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</si>
  <si>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</si>
  <si>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</si>
  <si>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</si>
  <si>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</si>
  <si>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</si>
  <si>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</si>
  <si>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</si>
  <si>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</si>
  <si>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</si>
  <si>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</si>
  <si>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</si>
  <si>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</si>
  <si>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</si>
  <si>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</si>
  <si>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</si>
  <si>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</si>
  <si>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</si>
  <si>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</si>
  <si>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</si>
  <si>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</si>
  <si>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</si>
  <si>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</si>
  <si>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</si>
  <si>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</si>
  <si>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</si>
  <si>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</si>
  <si>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</si>
  <si>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</si>
  <si>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</si>
  <si>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</si>
  <si>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</si>
  <si>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</si>
  <si>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</si>
  <si>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</si>
  <si>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</si>
  <si>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</si>
  <si>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</si>
  <si>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</si>
  <si>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</si>
  <si>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</si>
  <si>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</si>
  <si>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</si>
  <si>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</si>
  <si>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</si>
  <si>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</si>
  <si>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</si>
  <si>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</si>
  <si>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</si>
  <si>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</si>
  <si>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</si>
  <si>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</si>
  <si>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</si>
  <si>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</si>
  <si>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</si>
  <si>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</si>
  <si>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</si>
  <si>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</si>
  <si>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</si>
  <si>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</si>
  <si>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</si>
  <si>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</si>
  <si>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</si>
  <si>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</si>
  <si>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</si>
  <si>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</si>
  <si>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</si>
  <si>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</si>
  <si>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</si>
  <si>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</si>
  <si>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</si>
  <si>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</si>
  <si>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</si>
  <si>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</si>
  <si>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</si>
  <si>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</si>
  <si>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</si>
  <si>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</si>
  <si>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</si>
  <si>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</si>
  <si>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</si>
  <si>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</si>
  <si>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</si>
  <si>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</si>
  <si>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</si>
  <si>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</si>
  <si>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</si>
  <si>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</si>
  <si>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</si>
  <si>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</si>
  <si>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</si>
  <si>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</si>
  <si>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</si>
  <si>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</si>
  <si>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</si>
  <si>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</si>
  <si>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</si>
  <si>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</si>
  <si>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</si>
  <si>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</si>
  <si>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</si>
  <si>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</si>
  <si>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</si>
  <si>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</si>
  <si>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</si>
  <si>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</si>
  <si>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</si>
  <si>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</si>
  <si>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</si>
  <si>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</si>
  <si>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</si>
  <si>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</si>
  <si>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</si>
  <si>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</si>
  <si>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</si>
  <si>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</si>
  <si>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</si>
  <si>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</si>
  <si>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</si>
  <si>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</si>
  <si>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</si>
  <si>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</si>
  <si>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</si>
  <si>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</si>
  <si>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</si>
  <si>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</si>
  <si>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</si>
  <si>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</si>
  <si>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</si>
  <si>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</si>
  <si>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</si>
  <si>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</si>
  <si>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</si>
  <si>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</si>
  <si>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</si>
  <si>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</si>
  <si>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</si>
  <si>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</si>
  <si>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</si>
  <si>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</si>
  <si>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</si>
  <si>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</si>
  <si>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</si>
  <si>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</si>
  <si>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</si>
  <si>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</si>
  <si>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</si>
  <si>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</si>
  <si>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</si>
  <si>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</si>
  <si>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</si>
  <si>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</si>
  <si>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</si>
  <si>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</si>
  <si>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</si>
  <si>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</si>
  <si>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</si>
  <si>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</si>
  <si>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</si>
  <si>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</si>
  <si>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</si>
  <si>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</si>
  <si>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</si>
  <si>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</si>
  <si>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</si>
  <si>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</si>
  <si>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</si>
  <si>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</si>
  <si>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</si>
  <si>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</si>
  <si>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</si>
  <si>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</si>
  <si>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</si>
  <si>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</si>
  <si>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</si>
  <si>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</si>
  <si>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</si>
  <si>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</si>
  <si>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</si>
  <si>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</si>
  <si>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</si>
  <si>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</si>
  <si>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</si>
  <si>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</si>
  <si>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</si>
  <si>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</si>
  <si>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</si>
  <si>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</si>
  <si>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</si>
  <si>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</si>
  <si>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29.04.2014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</si>
  <si>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28.04.14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</si>
</sst>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9" xfId="22" applyFont="1" applyFill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0" fontId="4" fillId="0" borderId="9" xfId="20" applyFont="1" applyFill="1" applyBorder="1" applyAlignment="1" applyProtection="1">
      <alignment horizontal="center"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9" fontId="4" fillId="0" borderId="9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5011-02"/>
      <sheetName val="5011"/>
      <sheetName val="2111"/>
      <sheetName val="240603-2"/>
      <sheetName val="240603"/>
      <sheetName val="210805"/>
      <sheetName val="2105"/>
      <sheetName val="210804-2"/>
      <sheetName val="210804"/>
      <sheetName val="5250-сф"/>
      <sheetName val="2013"/>
      <sheetName val="очік-04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</sheetNames>
    <sheetDataSet>
      <sheetData sheetId="17">
        <row r="6">
          <cell r="G6">
            <v>122517602.77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108692380.81</v>
          </cell>
        </row>
      </sheetData>
      <sheetData sheetId="18">
        <row r="52">
          <cell r="B52">
            <v>748214.8900000006</v>
          </cell>
        </row>
      </sheetData>
      <sheetData sheetId="20">
        <row r="28">
          <cell r="C28">
            <v>4870376.3</v>
          </cell>
        </row>
      </sheetData>
      <sheetData sheetId="21">
        <row r="28">
          <cell r="C28">
            <v>3219411</v>
          </cell>
        </row>
      </sheetData>
      <sheetData sheetId="22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13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50" sqref="E15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64" t="s">
        <v>226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26"/>
      <c r="R1" s="127"/>
    </row>
    <row r="2" spans="2:18" s="1" customFormat="1" ht="15.75" customHeight="1">
      <c r="B2" s="165"/>
      <c r="C2" s="165"/>
      <c r="D2" s="165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6"/>
      <c r="B3" s="168"/>
      <c r="C3" s="169" t="s">
        <v>0</v>
      </c>
      <c r="D3" s="170" t="s">
        <v>224</v>
      </c>
      <c r="E3" s="170"/>
      <c r="F3" s="171" t="s">
        <v>107</v>
      </c>
      <c r="G3" s="172"/>
      <c r="H3" s="172"/>
      <c r="I3" s="172"/>
      <c r="J3" s="172"/>
      <c r="K3" s="172"/>
      <c r="L3" s="173"/>
      <c r="M3" s="174" t="s">
        <v>225</v>
      </c>
      <c r="N3" s="176" t="s">
        <v>221</v>
      </c>
      <c r="O3" s="176"/>
      <c r="P3" s="176"/>
      <c r="Q3" s="176"/>
      <c r="R3" s="176"/>
    </row>
    <row r="4" spans="1:18" ht="22.5" customHeight="1">
      <c r="A4" s="166"/>
      <c r="B4" s="168"/>
      <c r="C4" s="169"/>
      <c r="D4" s="170"/>
      <c r="E4" s="170"/>
      <c r="F4" s="177" t="s">
        <v>116</v>
      </c>
      <c r="G4" s="179" t="s">
        <v>217</v>
      </c>
      <c r="H4" s="163" t="s">
        <v>218</v>
      </c>
      <c r="I4" s="181" t="s">
        <v>188</v>
      </c>
      <c r="J4" s="183" t="s">
        <v>189</v>
      </c>
      <c r="K4" s="185" t="s">
        <v>219</v>
      </c>
      <c r="L4" s="186"/>
      <c r="M4" s="175"/>
      <c r="N4" s="193" t="s">
        <v>227</v>
      </c>
      <c r="O4" s="181" t="s">
        <v>136</v>
      </c>
      <c r="P4" s="181" t="s">
        <v>135</v>
      </c>
      <c r="Q4" s="185" t="s">
        <v>222</v>
      </c>
      <c r="R4" s="186"/>
    </row>
    <row r="5" spans="1:18" ht="82.5" customHeight="1">
      <c r="A5" s="167"/>
      <c r="B5" s="168"/>
      <c r="C5" s="169"/>
      <c r="D5" s="150" t="s">
        <v>209</v>
      </c>
      <c r="E5" s="158" t="s">
        <v>216</v>
      </c>
      <c r="F5" s="178"/>
      <c r="G5" s="162"/>
      <c r="H5" s="180"/>
      <c r="I5" s="182"/>
      <c r="J5" s="184"/>
      <c r="K5" s="187"/>
      <c r="L5" s="188"/>
      <c r="M5" s="151" t="s">
        <v>220</v>
      </c>
      <c r="N5" s="194"/>
      <c r="O5" s="182"/>
      <c r="P5" s="182"/>
      <c r="Q5" s="187"/>
      <c r="R5" s="18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136186.02000000002</v>
      </c>
      <c r="G8" s="22">
        <f aca="true" t="shared" si="0" ref="G8:G30">F8-E8</f>
        <v>-18035.070000000007</v>
      </c>
      <c r="H8" s="51">
        <f>F8/E8*100</f>
        <v>88.3057044921677</v>
      </c>
      <c r="I8" s="36">
        <f aca="true" t="shared" si="1" ref="I8:I17">F8-D8</f>
        <v>-352290.27999999997</v>
      </c>
      <c r="J8" s="36">
        <f aca="true" t="shared" si="2" ref="J8:J14">F8/D8*100</f>
        <v>27.879759980166902</v>
      </c>
      <c r="K8" s="36">
        <f>F8-151112.7</f>
        <v>-14926.679999999993</v>
      </c>
      <c r="L8" s="136">
        <f>F8/151112.7</f>
        <v>0.9012215386264689</v>
      </c>
      <c r="M8" s="22">
        <f>M10+M19+M33+M56+M68+M30</f>
        <v>38983.18999999999</v>
      </c>
      <c r="N8" s="22">
        <f>N10+N19+N33+N56+N68+N30</f>
        <v>28577.00999999999</v>
      </c>
      <c r="O8" s="36">
        <f aca="true" t="shared" si="3" ref="O8:O71">N8-M8</f>
        <v>-10406.179999999997</v>
      </c>
      <c r="P8" s="36">
        <f>F8/M8*100</f>
        <v>349.34549994497644</v>
      </c>
      <c r="Q8" s="36">
        <f>N8-40194.7</f>
        <v>-11617.690000000006</v>
      </c>
      <c r="R8" s="134">
        <f>N8/40194.7</f>
        <v>0.710964629665105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110535.76</v>
      </c>
      <c r="G9" s="22">
        <f t="shared" si="0"/>
        <v>110535.76</v>
      </c>
      <c r="H9" s="20"/>
      <c r="I9" s="56">
        <f t="shared" si="1"/>
        <v>-276477.44</v>
      </c>
      <c r="J9" s="56">
        <f t="shared" si="2"/>
        <v>28.561237704553744</v>
      </c>
      <c r="K9" s="56"/>
      <c r="L9" s="135"/>
      <c r="M9" s="20">
        <f>M10+M17</f>
        <v>32246.59999999999</v>
      </c>
      <c r="N9" s="20">
        <f>N10+N17</f>
        <v>24489.149999999994</v>
      </c>
      <c r="O9" s="36">
        <f t="shared" si="3"/>
        <v>-7757.449999999997</v>
      </c>
      <c r="P9" s="56">
        <f>F9/M9*100</f>
        <v>342.782680964815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110535.76</v>
      </c>
      <c r="G10" s="49">
        <f t="shared" si="0"/>
        <v>-15167.440000000002</v>
      </c>
      <c r="H10" s="40">
        <f aca="true" t="shared" si="4" ref="H10:H17">F10/E10*100</f>
        <v>87.9339269008267</v>
      </c>
      <c r="I10" s="56">
        <f t="shared" si="1"/>
        <v>-276477.44</v>
      </c>
      <c r="J10" s="56">
        <f t="shared" si="2"/>
        <v>28.561237704553744</v>
      </c>
      <c r="K10" s="141">
        <f>F10-117271.4</f>
        <v>-6735.639999999999</v>
      </c>
      <c r="L10" s="142">
        <f>F10/117271.4</f>
        <v>0.9425636600228189</v>
      </c>
      <c r="M10" s="40">
        <f>E10-березень!E10</f>
        <v>32246.59999999999</v>
      </c>
      <c r="N10" s="40">
        <f>F10-березень!F10</f>
        <v>24489.149999999994</v>
      </c>
      <c r="O10" s="53">
        <f t="shared" si="3"/>
        <v>-7757.449999999997</v>
      </c>
      <c r="P10" s="56">
        <f aca="true" t="shared" si="5" ref="P10:P17">N10/M10*100</f>
        <v>75.94335526846241</v>
      </c>
      <c r="Q10" s="141">
        <f>N10-32056.3</f>
        <v>-7567.150000000005</v>
      </c>
      <c r="R10" s="142">
        <f>N10/32056.3</f>
        <v>0.7639418772596961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841.44</v>
      </c>
      <c r="G19" s="49">
        <f t="shared" si="0"/>
        <v>-158.15999999999997</v>
      </c>
      <c r="H19" s="40">
        <f aca="true" t="shared" si="6" ref="H19:H29">F19/E19*100</f>
        <v>84.17767106842737</v>
      </c>
      <c r="I19" s="56">
        <f aca="true" t="shared" si="7" ref="I19:I29">F19-D19</f>
        <v>-158.55999999999995</v>
      </c>
      <c r="J19" s="56">
        <f aca="true" t="shared" si="8" ref="J19:J29">F19/D19*100</f>
        <v>84.144</v>
      </c>
      <c r="K19" s="56">
        <f>F19-4735.9</f>
        <v>-3894.4599999999996</v>
      </c>
      <c r="L19" s="135">
        <f>F19/4735.9</f>
        <v>0.17767267045334575</v>
      </c>
      <c r="M19" s="40">
        <f>E19-березень!E19</f>
        <v>-228.9999999999999</v>
      </c>
      <c r="N19" s="40">
        <f>F19-березень!F19</f>
        <v>25.760000000000105</v>
      </c>
      <c r="O19" s="53">
        <f t="shared" si="3"/>
        <v>254.76</v>
      </c>
      <c r="P19" s="56">
        <f aca="true" t="shared" si="9" ref="P19:P29">N19/M19*100</f>
        <v>-11.248908296943283</v>
      </c>
      <c r="Q19" s="56">
        <f>N19-450.5</f>
        <v>-424.7399999999999</v>
      </c>
      <c r="R19" s="135">
        <f>N19/450.5</f>
        <v>0.057180910099889244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771.69</v>
      </c>
      <c r="G29" s="49">
        <f t="shared" si="0"/>
        <v>32.09000000000003</v>
      </c>
      <c r="H29" s="40">
        <f t="shared" si="6"/>
        <v>104.3388318009735</v>
      </c>
      <c r="I29" s="56">
        <f t="shared" si="7"/>
        <v>-158.30999999999995</v>
      </c>
      <c r="J29" s="56">
        <f t="shared" si="8"/>
        <v>82.97741935483872</v>
      </c>
      <c r="K29" s="148">
        <f>F29-1169.5</f>
        <v>-397.80999999999995</v>
      </c>
      <c r="L29" s="149">
        <f>F29/1169.5</f>
        <v>0.6598460880718257</v>
      </c>
      <c r="M29" s="40">
        <f>E29-березень!E29</f>
        <v>11</v>
      </c>
      <c r="N29" s="40">
        <f>F29-березень!F29</f>
        <v>20.530000000000086</v>
      </c>
      <c r="O29" s="148">
        <f t="shared" si="3"/>
        <v>9.530000000000086</v>
      </c>
      <c r="P29" s="145">
        <f t="shared" si="9"/>
        <v>186.63636363636442</v>
      </c>
      <c r="Q29" s="148">
        <f>N29-438.2</f>
        <v>-417.6699999999999</v>
      </c>
      <c r="R29" s="149">
        <f>N29/438.2</f>
        <v>0.04685075308078523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22644.96</v>
      </c>
      <c r="G33" s="49">
        <f aca="true" t="shared" si="14" ref="G33:G72">F33-E33</f>
        <v>-2625.630000000001</v>
      </c>
      <c r="H33" s="40">
        <f aca="true" t="shared" si="15" ref="H33:H67">F33/E33*100</f>
        <v>89.60993787640098</v>
      </c>
      <c r="I33" s="56">
        <f>F33-D33</f>
        <v>-70921.04000000001</v>
      </c>
      <c r="J33" s="56">
        <f aca="true" t="shared" si="16" ref="J33:J72">F33/D33*100</f>
        <v>24.20212470341791</v>
      </c>
      <c r="K33" s="141">
        <f>F33-26928.2</f>
        <v>-4283.240000000002</v>
      </c>
      <c r="L33" s="142">
        <f>F33/26928.2</f>
        <v>0.840938495703389</v>
      </c>
      <c r="M33" s="40">
        <f>E33-березень!E33</f>
        <v>6412.09</v>
      </c>
      <c r="N33" s="40">
        <f>F33-березень!F33</f>
        <v>3555.6899999999987</v>
      </c>
      <c r="O33" s="53">
        <f t="shared" si="3"/>
        <v>-2856.4000000000015</v>
      </c>
      <c r="P33" s="56">
        <f aca="true" t="shared" si="17" ref="P33:P67">N33/M33*100</f>
        <v>55.452902251839866</v>
      </c>
      <c r="Q33" s="141">
        <f>N33-7165.5</f>
        <v>-3609.8100000000013</v>
      </c>
      <c r="R33" s="142">
        <f>N33/7165.5</f>
        <v>0.49622357127904526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17117.21</v>
      </c>
      <c r="G55" s="144">
        <f t="shared" si="14"/>
        <v>-1693.0800000000017</v>
      </c>
      <c r="H55" s="146">
        <f t="shared" si="15"/>
        <v>90.99918183079579</v>
      </c>
      <c r="I55" s="145">
        <f t="shared" si="18"/>
        <v>-53148.79</v>
      </c>
      <c r="J55" s="145">
        <f t="shared" si="16"/>
        <v>24.3605869125893</v>
      </c>
      <c r="K55" s="148">
        <f>F55-19428.9</f>
        <v>-2311.6900000000023</v>
      </c>
      <c r="L55" s="149">
        <f>F55/19428.9</f>
        <v>0.8810179680784809</v>
      </c>
      <c r="M55" s="40">
        <f>E55-березень!E55</f>
        <v>4792.090000000002</v>
      </c>
      <c r="N55" s="40">
        <f>F55-березень!F55</f>
        <v>2920.199999999999</v>
      </c>
      <c r="O55" s="148">
        <f t="shared" si="3"/>
        <v>-1871.890000000003</v>
      </c>
      <c r="P55" s="148">
        <f t="shared" si="17"/>
        <v>60.93792061501344</v>
      </c>
      <c r="Q55" s="160">
        <f>N55-4813.7</f>
        <v>-1893.500000000001</v>
      </c>
      <c r="R55" s="161">
        <f>N55/4813.7</f>
        <v>0.6066435382346218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2160.07</v>
      </c>
      <c r="G56" s="49">
        <f t="shared" si="14"/>
        <v>-78.02999999999975</v>
      </c>
      <c r="H56" s="40">
        <f t="shared" si="15"/>
        <v>96.51356060944552</v>
      </c>
      <c r="I56" s="56">
        <f t="shared" si="18"/>
        <v>-4699.93</v>
      </c>
      <c r="J56" s="56">
        <f t="shared" si="16"/>
        <v>31.48790087463557</v>
      </c>
      <c r="K56" s="56">
        <f>F56-2151.9</f>
        <v>8.170000000000073</v>
      </c>
      <c r="L56" s="135">
        <f>F56/2151.9</f>
        <v>1.0037966448255031</v>
      </c>
      <c r="M56" s="40">
        <f>E56-березень!E56</f>
        <v>553</v>
      </c>
      <c r="N56" s="40">
        <f>F56-березень!F56</f>
        <v>506.3600000000001</v>
      </c>
      <c r="O56" s="53">
        <f t="shared" si="3"/>
        <v>-46.63999999999987</v>
      </c>
      <c r="P56" s="56">
        <f t="shared" si="17"/>
        <v>91.56600361663655</v>
      </c>
      <c r="Q56" s="56">
        <f>N56-522.5</f>
        <v>-16.139999999999873</v>
      </c>
      <c r="R56" s="135">
        <f>N56/522.5</f>
        <v>0.9691100478468901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4131.1900000000005</v>
      </c>
      <c r="G74" s="50">
        <f aca="true" t="shared" si="24" ref="G74:G92">F74-E74</f>
        <v>-316.3099999999995</v>
      </c>
      <c r="H74" s="51">
        <f aca="true" t="shared" si="25" ref="H74:H87">F74/E74*100</f>
        <v>92.88791455874087</v>
      </c>
      <c r="I74" s="36">
        <f aca="true" t="shared" si="26" ref="I74:I92">F74-D74</f>
        <v>-14227.109999999999</v>
      </c>
      <c r="J74" s="36">
        <f aca="true" t="shared" si="27" ref="J74:J92">F74/D74*100</f>
        <v>22.50311848046933</v>
      </c>
      <c r="K74" s="36">
        <f>F74-5374.8</f>
        <v>-1243.6099999999997</v>
      </c>
      <c r="L74" s="136">
        <f>F74/5374.8</f>
        <v>0.7686220882637494</v>
      </c>
      <c r="M74" s="22">
        <f>M77+M86+M88+M89+M94+M95+M96+M97+M99+M87+M103</f>
        <v>1615.5</v>
      </c>
      <c r="N74" s="22">
        <f>N77+N86+N88+N89+N94+N95+N96+N97+N99+N32+N103+N87</f>
        <v>1011.6400000000002</v>
      </c>
      <c r="O74" s="55">
        <f aca="true" t="shared" si="28" ref="O74:O92">N74-M74</f>
        <v>-603.8599999999998</v>
      </c>
      <c r="P74" s="36">
        <f>N74/M74*100</f>
        <v>62.62086041473229</v>
      </c>
      <c r="Q74" s="36">
        <f>N74-1526</f>
        <v>-514.3599999999998</v>
      </c>
      <c r="R74" s="136">
        <f>N74/1526</f>
        <v>0.6629357798165139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34.1</v>
      </c>
      <c r="G89" s="49">
        <f t="shared" si="24"/>
        <v>-19.9</v>
      </c>
      <c r="H89" s="40">
        <f>F89/E89*100</f>
        <v>63.14814814814815</v>
      </c>
      <c r="I89" s="56">
        <f t="shared" si="26"/>
        <v>-140.9</v>
      </c>
      <c r="J89" s="56">
        <f t="shared" si="27"/>
        <v>19.485714285714288</v>
      </c>
      <c r="K89" s="56">
        <f>F89-66.3</f>
        <v>-32.199999999999996</v>
      </c>
      <c r="L89" s="135">
        <f>F89/66.3</f>
        <v>0.5143288084464556</v>
      </c>
      <c r="M89" s="40">
        <f>E89-березень!E89</f>
        <v>15</v>
      </c>
      <c r="N89" s="40">
        <f>F89-березень!F89</f>
        <v>7.330000000000002</v>
      </c>
      <c r="O89" s="53">
        <f t="shared" si="28"/>
        <v>-7.669999999999998</v>
      </c>
      <c r="P89" s="56">
        <f>N89/M89*100</f>
        <v>48.86666666666668</v>
      </c>
      <c r="Q89" s="56">
        <f>N89-18.8</f>
        <v>-11.469999999999999</v>
      </c>
      <c r="R89" s="135">
        <f>N89/18.8</f>
        <v>0.3898936170212767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271.61</v>
      </c>
      <c r="G96" s="49">
        <f t="shared" si="31"/>
        <v>-22.889999999999986</v>
      </c>
      <c r="H96" s="40">
        <f>F96/E96*100</f>
        <v>92.22750424448218</v>
      </c>
      <c r="I96" s="56">
        <f t="shared" si="32"/>
        <v>-928.39</v>
      </c>
      <c r="J96" s="56">
        <f>F96/D96*100</f>
        <v>22.63416666666667</v>
      </c>
      <c r="K96" s="56">
        <f>F96-305.5</f>
        <v>-33.889999999999986</v>
      </c>
      <c r="L96" s="135">
        <f>F96/305.5</f>
        <v>0.8890671031096563</v>
      </c>
      <c r="M96" s="40">
        <f>E96-березень!E96</f>
        <v>70</v>
      </c>
      <c r="N96" s="40">
        <f>F96-березень!F96</f>
        <v>72.74000000000001</v>
      </c>
      <c r="O96" s="53">
        <f t="shared" si="33"/>
        <v>2.740000000000009</v>
      </c>
      <c r="P96" s="56">
        <f>N96/M96*100</f>
        <v>103.91428571428574</v>
      </c>
      <c r="Q96" s="56">
        <f>N96-144</f>
        <v>-71.25999999999999</v>
      </c>
      <c r="R96" s="135">
        <f>N96/144</f>
        <v>0.5051388888888889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1191.65</v>
      </c>
      <c r="G99" s="49">
        <f t="shared" si="31"/>
        <v>14.650000000000091</v>
      </c>
      <c r="H99" s="40">
        <f>F99/E99*100</f>
        <v>101.2446898895497</v>
      </c>
      <c r="I99" s="56">
        <f t="shared" si="32"/>
        <v>-3381.0499999999997</v>
      </c>
      <c r="J99" s="56">
        <f>F99/D99*100</f>
        <v>26.06009578585956</v>
      </c>
      <c r="K99" s="56">
        <f>F99-994.9</f>
        <v>196.7500000000001</v>
      </c>
      <c r="L99" s="135">
        <f>F99/994.9</f>
        <v>1.197758568700372</v>
      </c>
      <c r="M99" s="40">
        <f>E99-березень!E99</f>
        <v>400</v>
      </c>
      <c r="N99" s="40">
        <f>F99-березень!F99</f>
        <v>277.80000000000007</v>
      </c>
      <c r="O99" s="53">
        <f t="shared" si="33"/>
        <v>-122.19999999999993</v>
      </c>
      <c r="P99" s="56">
        <f>N99/M99*100</f>
        <v>69.45000000000002</v>
      </c>
      <c r="Q99" s="56">
        <f>N99-264.3</f>
        <v>13.500000000000057</v>
      </c>
      <c r="R99" s="135">
        <f>N99/264.3</f>
        <v>1.051078320090806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232.2</v>
      </c>
      <c r="G102" s="144"/>
      <c r="H102" s="146"/>
      <c r="I102" s="145"/>
      <c r="J102" s="145"/>
      <c r="K102" s="148">
        <f>F102-139.6</f>
        <v>92.6</v>
      </c>
      <c r="L102" s="149">
        <f>F102/139.6</f>
        <v>1.663323782234957</v>
      </c>
      <c r="M102" s="40">
        <f>E102-березень!E102</f>
        <v>0</v>
      </c>
      <c r="N102" s="40">
        <f>F102-березень!F102</f>
        <v>59.599999999999994</v>
      </c>
      <c r="O102" s="53"/>
      <c r="P102" s="60"/>
      <c r="Q102" s="60">
        <f>N102-51</f>
        <v>8.599999999999994</v>
      </c>
      <c r="R102" s="138">
        <f>N102/51</f>
        <v>1.168627450980392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7.17</v>
      </c>
      <c r="G104" s="49">
        <f>F104-E104</f>
        <v>-2.0299999999999994</v>
      </c>
      <c r="H104" s="40"/>
      <c r="I104" s="56">
        <f t="shared" si="34"/>
        <v>-37.83</v>
      </c>
      <c r="J104" s="56">
        <f aca="true" t="shared" si="36" ref="J104:J109">F104/D104*100</f>
        <v>15.933333333333334</v>
      </c>
      <c r="K104" s="56">
        <f>F104-12.1</f>
        <v>-4.93</v>
      </c>
      <c r="L104" s="135">
        <f>F104/12.1</f>
        <v>0.5925619834710744</v>
      </c>
      <c r="M104" s="40">
        <f>E104-березень!E104</f>
        <v>2.999999999999999</v>
      </c>
      <c r="N104" s="40">
        <f>F104-березень!F104</f>
        <v>1.2599999999999998</v>
      </c>
      <c r="O104" s="53">
        <f t="shared" si="35"/>
        <v>-1.7399999999999993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140324.42000000004</v>
      </c>
      <c r="G106" s="50">
        <f>F106-E106</f>
        <v>-18353.369999999995</v>
      </c>
      <c r="H106" s="51">
        <f>F106/E106*100</f>
        <v>88.4335608657015</v>
      </c>
      <c r="I106" s="36">
        <f t="shared" si="34"/>
        <v>-366555.17999999993</v>
      </c>
      <c r="J106" s="36">
        <f t="shared" si="36"/>
        <v>27.68397465591435</v>
      </c>
      <c r="K106" s="36">
        <f>F106-156502.1</f>
        <v>-16177.679999999964</v>
      </c>
      <c r="L106" s="136">
        <f>F106/156502.1</f>
        <v>0.8966296298899505</v>
      </c>
      <c r="M106" s="22">
        <f>M8+M74+M104+M105</f>
        <v>40601.68999999999</v>
      </c>
      <c r="N106" s="22">
        <f>N8+N74+N104+N105</f>
        <v>29589.90999999999</v>
      </c>
      <c r="O106" s="55">
        <f t="shared" si="35"/>
        <v>-11011.779999999999</v>
      </c>
      <c r="P106" s="36">
        <f>N106/M106*100</f>
        <v>72.87851811094562</v>
      </c>
      <c r="Q106" s="36">
        <f>N106-41720.7</f>
        <v>-12130.790000000008</v>
      </c>
      <c r="R106" s="136">
        <f>N106/41720.7</f>
        <v>0.7092381000318785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110807.37</v>
      </c>
      <c r="G107" s="71">
        <f>G10-G18+G96</f>
        <v>-15190.330000000002</v>
      </c>
      <c r="H107" s="72">
        <f>F107/E107*100</f>
        <v>87.94396246915618</v>
      </c>
      <c r="I107" s="52">
        <f t="shared" si="34"/>
        <v>-277405.83</v>
      </c>
      <c r="J107" s="52">
        <f t="shared" si="36"/>
        <v>28.542916624164246</v>
      </c>
      <c r="K107" s="52">
        <f>F107-117642.3</f>
        <v>-6834.930000000008</v>
      </c>
      <c r="L107" s="137">
        <f>F107/117642.3</f>
        <v>0.9419007448851305</v>
      </c>
      <c r="M107" s="71">
        <f>M10-M18+M96</f>
        <v>32316.59999999999</v>
      </c>
      <c r="N107" s="71">
        <f>N10-N18+N96</f>
        <v>24561.889999999996</v>
      </c>
      <c r="O107" s="53">
        <f t="shared" si="35"/>
        <v>-7754.7099999999955</v>
      </c>
      <c r="P107" s="52">
        <f>N107/M107*100</f>
        <v>76.00394224639969</v>
      </c>
      <c r="Q107" s="52">
        <f>N107-32216.7</f>
        <v>-7654.810000000005</v>
      </c>
      <c r="R107" s="137">
        <f>N107/32216.7</f>
        <v>0.7623962106609303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29517.050000000047</v>
      </c>
      <c r="G108" s="62">
        <f>F108-E108</f>
        <v>-3163.0399999999936</v>
      </c>
      <c r="H108" s="72">
        <f>F108/E108*100</f>
        <v>90.3212016857971</v>
      </c>
      <c r="I108" s="52">
        <f t="shared" si="34"/>
        <v>-89149.34999999992</v>
      </c>
      <c r="J108" s="52">
        <f t="shared" si="36"/>
        <v>24.873974435897654</v>
      </c>
      <c r="K108" s="52">
        <f>F108-38859.8</f>
        <v>-9342.749999999956</v>
      </c>
      <c r="L108" s="137">
        <f>F108/38859.8</f>
        <v>0.7595780215029425</v>
      </c>
      <c r="M108" s="71">
        <f>M106-M107</f>
        <v>8285.089999999997</v>
      </c>
      <c r="N108" s="71">
        <f>N106-N107</f>
        <v>5028.019999999993</v>
      </c>
      <c r="O108" s="53">
        <f t="shared" si="35"/>
        <v>-3257.0700000000033</v>
      </c>
      <c r="P108" s="52">
        <f>N108/M108*100</f>
        <v>60.68757249468618</v>
      </c>
      <c r="Q108" s="52">
        <f>N108-9504</f>
        <v>-4475.980000000007</v>
      </c>
      <c r="R108" s="137">
        <f>N108/9504</f>
        <v>0.5290425084175077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110807.37</v>
      </c>
      <c r="G109" s="111">
        <f>F109-E109</f>
        <v>-9820.430000000008</v>
      </c>
      <c r="H109" s="72">
        <f>F109/E109*100</f>
        <v>91.85889985558885</v>
      </c>
      <c r="I109" s="81">
        <f t="shared" si="34"/>
        <v>-277405.83</v>
      </c>
      <c r="J109" s="52">
        <f t="shared" si="36"/>
        <v>28.542916624164246</v>
      </c>
      <c r="K109" s="52"/>
      <c r="L109" s="137"/>
      <c r="M109" s="72">
        <f>E109-березень!E109</f>
        <v>32316.600000000006</v>
      </c>
      <c r="N109" s="71">
        <f>N107</f>
        <v>24561.889999999996</v>
      </c>
      <c r="O109" s="118">
        <f t="shared" si="35"/>
        <v>-7754.71000000001</v>
      </c>
      <c r="P109" s="52">
        <f>N109/M109*100</f>
        <v>76.00394224639966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354.66</v>
      </c>
      <c r="G114" s="49">
        <f t="shared" si="37"/>
        <v>-687.4399999999998</v>
      </c>
      <c r="H114" s="40">
        <f aca="true" t="shared" si="39" ref="H114:H125">F114/E114*100</f>
        <v>34.03320218788984</v>
      </c>
      <c r="I114" s="60">
        <f t="shared" si="38"/>
        <v>-3316.84</v>
      </c>
      <c r="J114" s="60">
        <f aca="true" t="shared" si="40" ref="J114:J120">F114/D114*100</f>
        <v>9.659812065913115</v>
      </c>
      <c r="K114" s="60">
        <f>F114-1203.2</f>
        <v>-848.54</v>
      </c>
      <c r="L114" s="138">
        <f>F114/1203.2</f>
        <v>0.29476396276595745</v>
      </c>
      <c r="M114" s="40">
        <f>E114-березень!E114</f>
        <v>327.4999999999999</v>
      </c>
      <c r="N114" s="40">
        <f>F114-березень!F114</f>
        <v>71.01000000000005</v>
      </c>
      <c r="O114" s="53">
        <f aca="true" t="shared" si="41" ref="O114:O125">N114-M114</f>
        <v>-256.48999999999984</v>
      </c>
      <c r="P114" s="60">
        <f>N114/M114*100</f>
        <v>21.682442748091628</v>
      </c>
      <c r="Q114" s="60">
        <f>N114-368.9</f>
        <v>-297.88999999999993</v>
      </c>
      <c r="R114" s="138">
        <f>N114/368.9</f>
        <v>0.192491190024397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450.24</v>
      </c>
      <c r="G116" s="62">
        <f t="shared" si="37"/>
        <v>-682.3599999999999</v>
      </c>
      <c r="H116" s="72">
        <f t="shared" si="39"/>
        <v>39.75278121137207</v>
      </c>
      <c r="I116" s="61">
        <f t="shared" si="38"/>
        <v>-3489.3599999999997</v>
      </c>
      <c r="J116" s="61">
        <f t="shared" si="40"/>
        <v>11.428571428571429</v>
      </c>
      <c r="K116" s="61">
        <f>F116-1294.2</f>
        <v>-843.96</v>
      </c>
      <c r="L116" s="139">
        <f>F116/1294.2</f>
        <v>0.34789058878071394</v>
      </c>
      <c r="M116" s="62">
        <f>M114+M115+M113</f>
        <v>349.4999999999999</v>
      </c>
      <c r="N116" s="38">
        <f>SUM(N113:N115)</f>
        <v>98.78000000000006</v>
      </c>
      <c r="O116" s="61">
        <f t="shared" si="41"/>
        <v>-250.71999999999983</v>
      </c>
      <c r="P116" s="61">
        <f>N116/M116*100</f>
        <v>28.26323319027184</v>
      </c>
      <c r="Q116" s="61">
        <f>N116-391.8</f>
        <v>-293.02</v>
      </c>
      <c r="R116" s="139">
        <f>N116/391.8</f>
        <v>0.2521184277692702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0</v>
      </c>
      <c r="F118" s="33">
        <v>115.84</v>
      </c>
      <c r="G118" s="49">
        <f t="shared" si="37"/>
        <v>115.84</v>
      </c>
      <c r="H118" s="40" t="e">
        <f t="shared" si="39"/>
        <v>#DIV/0!</v>
      </c>
      <c r="I118" s="60">
        <f t="shared" si="38"/>
        <v>-151.35999999999999</v>
      </c>
      <c r="J118" s="60">
        <f t="shared" si="40"/>
        <v>43.35329341317365</v>
      </c>
      <c r="K118" s="60">
        <f>F118-88.4</f>
        <v>27.439999999999998</v>
      </c>
      <c r="L118" s="138">
        <f>F118/88.4</f>
        <v>1.3104072398190045</v>
      </c>
      <c r="M118" s="40">
        <f>E118-березень!E118</f>
        <v>0</v>
      </c>
      <c r="N118" s="40">
        <f>F118-березень!F118</f>
        <v>14.370000000000005</v>
      </c>
      <c r="O118" s="53" t="s">
        <v>166</v>
      </c>
      <c r="P118" s="60"/>
      <c r="Q118" s="60">
        <f>N118-80.7</f>
        <v>-66.33</v>
      </c>
      <c r="R118" s="138">
        <f>N118/80.7</f>
        <v>0.17806691449814133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23812.6</v>
      </c>
      <c r="F119" s="33">
        <v>25876.8</v>
      </c>
      <c r="G119" s="49">
        <f t="shared" si="37"/>
        <v>2064.2000000000007</v>
      </c>
      <c r="H119" s="40">
        <f t="shared" si="39"/>
        <v>108.66852002721248</v>
      </c>
      <c r="I119" s="53">
        <f t="shared" si="38"/>
        <v>-46099.19</v>
      </c>
      <c r="J119" s="60">
        <f t="shared" si="40"/>
        <v>35.951988989661686</v>
      </c>
      <c r="K119" s="60">
        <f>F119-23645.2</f>
        <v>2231.5999999999985</v>
      </c>
      <c r="L119" s="138">
        <f>F119/23645.2</f>
        <v>1.094378563091029</v>
      </c>
      <c r="M119" s="40">
        <f>E119-березень!E119</f>
        <v>5200</v>
      </c>
      <c r="N119" s="40">
        <f>F119-березень!F119</f>
        <v>6181.759999999998</v>
      </c>
      <c r="O119" s="53">
        <f t="shared" si="41"/>
        <v>981.7599999999984</v>
      </c>
      <c r="P119" s="60">
        <f aca="true" t="shared" si="42" ref="P119:P124">N119/M119*100</f>
        <v>118.87999999999997</v>
      </c>
      <c r="Q119" s="60">
        <f>N119-6401.1</f>
        <v>-219.34000000000196</v>
      </c>
      <c r="R119" s="138">
        <f>N119/6401.1</f>
        <v>0.9657340144662633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0</v>
      </c>
      <c r="F120" s="33">
        <v>1435</v>
      </c>
      <c r="G120" s="49">
        <f t="shared" si="37"/>
        <v>1435</v>
      </c>
      <c r="H120" s="40" t="e">
        <f t="shared" si="39"/>
        <v>#DIV/0!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0</v>
      </c>
      <c r="N120" s="40">
        <f>F120-березень!F120</f>
        <v>916.37</v>
      </c>
      <c r="O120" s="53">
        <f t="shared" si="41"/>
        <v>916.37</v>
      </c>
      <c r="P120" s="60" t="e">
        <f t="shared" si="42"/>
        <v>#DIV/0!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0</v>
      </c>
      <c r="F121" s="33">
        <v>1473.24</v>
      </c>
      <c r="G121" s="49">
        <f t="shared" si="37"/>
        <v>1473.24</v>
      </c>
      <c r="H121" s="40" t="e">
        <f t="shared" si="39"/>
        <v>#DIV/0!</v>
      </c>
      <c r="I121" s="60">
        <f t="shared" si="38"/>
        <v>-21604.76</v>
      </c>
      <c r="J121" s="60">
        <f>F121/D121*100</f>
        <v>6.383742092035705</v>
      </c>
      <c r="K121" s="60">
        <f>F121-7276</f>
        <v>-5802.76</v>
      </c>
      <c r="L121" s="138">
        <f>F121/7276</f>
        <v>0.20247938427707532</v>
      </c>
      <c r="M121" s="40">
        <f>E121-березень!E121</f>
        <v>0</v>
      </c>
      <c r="N121" s="40">
        <f>F121-березень!F121</f>
        <v>329.28</v>
      </c>
      <c r="O121" s="53">
        <f t="shared" si="41"/>
        <v>329.28</v>
      </c>
      <c r="P121" s="60" t="e">
        <f t="shared" si="42"/>
        <v>#DIV/0!</v>
      </c>
      <c r="Q121" s="60">
        <f>N121-282.5</f>
        <v>46.77999999999997</v>
      </c>
      <c r="R121" s="138">
        <f>N121/282.5</f>
        <v>1.165592920353982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0</v>
      </c>
      <c r="F122" s="33">
        <v>554.71</v>
      </c>
      <c r="G122" s="49">
        <f t="shared" si="37"/>
        <v>554.71</v>
      </c>
      <c r="H122" s="40" t="e">
        <f t="shared" si="39"/>
        <v>#DIV/0!</v>
      </c>
      <c r="I122" s="60">
        <f t="shared" si="38"/>
        <v>-1445.29</v>
      </c>
      <c r="J122" s="60">
        <f>F122/D122*100</f>
        <v>27.735500000000002</v>
      </c>
      <c r="K122" s="60">
        <f>F122-1170.5</f>
        <v>-615.79</v>
      </c>
      <c r="L122" s="138">
        <f>F122/1170.5</f>
        <v>0.47390858607432723</v>
      </c>
      <c r="M122" s="40">
        <f>E122-березень!E122</f>
        <v>0</v>
      </c>
      <c r="N122" s="40">
        <f>F122-березень!F122</f>
        <v>90.79000000000002</v>
      </c>
      <c r="O122" s="53">
        <f t="shared" si="41"/>
        <v>90.79000000000002</v>
      </c>
      <c r="P122" s="60" t="e">
        <f t="shared" si="42"/>
        <v>#DIV/0!</v>
      </c>
      <c r="Q122" s="60">
        <f>N122-856</f>
        <v>-765.21</v>
      </c>
      <c r="R122" s="138">
        <f>N122/865</f>
        <v>0.10495953757225436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23812.6</v>
      </c>
      <c r="F123" s="38">
        <f>F119+F120+F121+F122+F118</f>
        <v>29455.59</v>
      </c>
      <c r="G123" s="62">
        <f t="shared" si="37"/>
        <v>5642.990000000002</v>
      </c>
      <c r="H123" s="72">
        <f t="shared" si="39"/>
        <v>123.69749628348019</v>
      </c>
      <c r="I123" s="61">
        <f t="shared" si="38"/>
        <v>-77865.6</v>
      </c>
      <c r="J123" s="61">
        <f>F123/D123*100</f>
        <v>27.44620144446777</v>
      </c>
      <c r="K123" s="61">
        <f>F123-32616.1</f>
        <v>-3160.5099999999984</v>
      </c>
      <c r="L123" s="139">
        <f>F123/32616.1</f>
        <v>0.9030996961623248</v>
      </c>
      <c r="M123" s="62">
        <f>M119+M120+M121+M122+M118</f>
        <v>5200</v>
      </c>
      <c r="N123" s="62">
        <f>N119+N120+N121+N122+N118</f>
        <v>7532.569999999998</v>
      </c>
      <c r="O123" s="61">
        <f t="shared" si="41"/>
        <v>2332.569999999998</v>
      </c>
      <c r="P123" s="61">
        <f t="shared" si="42"/>
        <v>144.85711538461535</v>
      </c>
      <c r="Q123" s="61">
        <f>N123-7775.9</f>
        <v>-243.33000000000175</v>
      </c>
      <c r="R123" s="139">
        <f>N123/7775.9</f>
        <v>0.9687071592998879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2615.9</v>
      </c>
      <c r="G127" s="49">
        <f aca="true" t="shared" si="43" ref="G127:G134">F127-E127</f>
        <v>106.40000000000009</v>
      </c>
      <c r="H127" s="40">
        <f>F127/E127*100</f>
        <v>104.23988842398883</v>
      </c>
      <c r="I127" s="60">
        <f aca="true" t="shared" si="44" ref="I127:I134">F127-D127</f>
        <v>-6084.1</v>
      </c>
      <c r="J127" s="60">
        <f>F127/D127*100</f>
        <v>30.067816091954025</v>
      </c>
      <c r="K127" s="60">
        <f>F127-2832.5</f>
        <v>-216.5999999999999</v>
      </c>
      <c r="L127" s="138">
        <f>F127/2832.5</f>
        <v>0.9235304501323919</v>
      </c>
      <c r="M127" s="40">
        <f>E127-березень!E127</f>
        <v>2</v>
      </c>
      <c r="N127" s="40">
        <f>F127-березень!F127</f>
        <v>12.150000000000091</v>
      </c>
      <c r="O127" s="53">
        <f aca="true" t="shared" si="45" ref="O127:O134">N127-M127</f>
        <v>10.150000000000091</v>
      </c>
      <c r="P127" s="60">
        <f>N127/M127*100</f>
        <v>607.5000000000045</v>
      </c>
      <c r="Q127" s="60">
        <f>N127-392.9</f>
        <v>-380.7499999999999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2643.0400000000004</v>
      </c>
      <c r="G129" s="62">
        <f t="shared" si="43"/>
        <v>115.18000000000075</v>
      </c>
      <c r="H129" s="72">
        <f>F129/E129*100</f>
        <v>104.55642321964037</v>
      </c>
      <c r="I129" s="61">
        <f t="shared" si="44"/>
        <v>-6107.66</v>
      </c>
      <c r="J129" s="61">
        <f>F129/D129*100</f>
        <v>30.20375512816118</v>
      </c>
      <c r="K129" s="61">
        <f>F129-2938.1</f>
        <v>-295.0599999999995</v>
      </c>
      <c r="L129" s="139">
        <f>G129/2938.1</f>
        <v>0.03920220550696053</v>
      </c>
      <c r="M129" s="62">
        <f>M124+M127+M128+M126</f>
        <v>5</v>
      </c>
      <c r="N129" s="62">
        <f>N124+N127+N128+N126</f>
        <v>26.530000000000094</v>
      </c>
      <c r="O129" s="61">
        <f t="shared" si="45"/>
        <v>21.530000000000094</v>
      </c>
      <c r="P129" s="61">
        <f>N129/M129*100</f>
        <v>530.6000000000018</v>
      </c>
      <c r="Q129" s="61">
        <f>N129-393.8</f>
        <v>-367.2699999999999</v>
      </c>
      <c r="R129" s="137">
        <f>N129/393.8</f>
        <v>0.06736922295581536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11.64</v>
      </c>
      <c r="G130" s="49">
        <f>F130-E130</f>
        <v>3.3900000000000006</v>
      </c>
      <c r="H130" s="40">
        <f>F130/E130*100</f>
        <v>141.0909090909091</v>
      </c>
      <c r="I130" s="60">
        <f>F130-D130</f>
        <v>-18.36</v>
      </c>
      <c r="J130" s="60">
        <f>F130/D130*100</f>
        <v>38.800000000000004</v>
      </c>
      <c r="K130" s="60">
        <f>F130-8.8</f>
        <v>2.84</v>
      </c>
      <c r="L130" s="138">
        <f>F130/8.8</f>
        <v>1.3227272727272728</v>
      </c>
      <c r="M130" s="40">
        <f>E130-березень!E130</f>
        <v>0.40000000000000036</v>
      </c>
      <c r="N130" s="40">
        <f>F130-березень!F130</f>
        <v>0.6699999999999999</v>
      </c>
      <c r="O130" s="53">
        <f>N130-M130</f>
        <v>0.2699999999999996</v>
      </c>
      <c r="P130" s="60">
        <f>N130/M130*100</f>
        <v>167.49999999999983</v>
      </c>
      <c r="Q130" s="60">
        <f>N130-0.5</f>
        <v>0.16999999999999993</v>
      </c>
      <c r="R130" s="138">
        <f>N130/0.5</f>
        <v>1.3399999999999999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27481.309999999998</v>
      </c>
      <c r="F133" s="31">
        <f>F116+F130+F123+F129+F132+F131</f>
        <v>32560.510000000002</v>
      </c>
      <c r="G133" s="50">
        <f t="shared" si="43"/>
        <v>5079.200000000004</v>
      </c>
      <c r="H133" s="51">
        <f>F133/E133*100</f>
        <v>118.48237947899864</v>
      </c>
      <c r="I133" s="36">
        <f t="shared" si="44"/>
        <v>-87480.98000000001</v>
      </c>
      <c r="J133" s="36">
        <f>F133/D133*100</f>
        <v>27.124380078921046</v>
      </c>
      <c r="K133" s="36">
        <f>F133-36860.1</f>
        <v>-4299.5899999999965</v>
      </c>
      <c r="L133" s="136">
        <f>F133/36860.1</f>
        <v>0.8833538161860658</v>
      </c>
      <c r="M133" s="31">
        <f>M116+M130+M123+M129+M132+M131</f>
        <v>5554.9</v>
      </c>
      <c r="N133" s="31">
        <f>N116+N130+N123+N129+N132+N131</f>
        <v>7658.549999999997</v>
      </c>
      <c r="O133" s="36">
        <f t="shared" si="45"/>
        <v>2103.649999999998</v>
      </c>
      <c r="P133" s="36">
        <f>N133/M133*100</f>
        <v>137.87016867990417</v>
      </c>
      <c r="Q133" s="36">
        <f>N133-8565.9</f>
        <v>-907.3500000000022</v>
      </c>
      <c r="R133" s="136">
        <f>N133/8564.9</f>
        <v>0.8941785660077757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186159.10000000003</v>
      </c>
      <c r="F134" s="31">
        <f>F106+F133</f>
        <v>172884.93000000005</v>
      </c>
      <c r="G134" s="50">
        <f t="shared" si="43"/>
        <v>-13274.169999999984</v>
      </c>
      <c r="H134" s="51">
        <f>F134/E134*100</f>
        <v>92.86944876721043</v>
      </c>
      <c r="I134" s="36">
        <f t="shared" si="44"/>
        <v>-454036.1599999999</v>
      </c>
      <c r="J134" s="36">
        <f>F134/D134*100</f>
        <v>27.576824700537678</v>
      </c>
      <c r="K134" s="36">
        <f>F134-193362.2</f>
        <v>-20477.26999999996</v>
      </c>
      <c r="L134" s="136">
        <f>F134/193362.2</f>
        <v>0.8940988983369037</v>
      </c>
      <c r="M134" s="22">
        <f>M106+M133</f>
        <v>46156.58999999999</v>
      </c>
      <c r="N134" s="22">
        <f>N106+N133</f>
        <v>37248.459999999985</v>
      </c>
      <c r="O134" s="36">
        <f t="shared" si="45"/>
        <v>-8908.130000000005</v>
      </c>
      <c r="P134" s="36">
        <f>N134/M134*100</f>
        <v>80.70019903983373</v>
      </c>
      <c r="Q134" s="36">
        <f>N134-50285.6</f>
        <v>-13037.140000000014</v>
      </c>
      <c r="R134" s="136">
        <f>N134/50285.6</f>
        <v>0.740738103950236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2</v>
      </c>
      <c r="D136" s="4" t="s">
        <v>118</v>
      </c>
    </row>
    <row r="137" spans="2:17" ht="31.5">
      <c r="B137" s="78" t="s">
        <v>154</v>
      </c>
      <c r="C137" s="39">
        <f>IF(O106&lt;0,ABS(O106/C136),0)</f>
        <v>5505.889999999999</v>
      </c>
      <c r="D137" s="4" t="s">
        <v>104</v>
      </c>
      <c r="G137" s="189"/>
      <c r="H137" s="189"/>
      <c r="I137" s="189"/>
      <c r="J137" s="18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41757</v>
      </c>
      <c r="D138" s="39">
        <v>1923.2</v>
      </c>
      <c r="N138" s="190"/>
      <c r="O138" s="190"/>
    </row>
    <row r="139" spans="3:15" ht="15.75">
      <c r="C139" s="120">
        <v>41754</v>
      </c>
      <c r="D139" s="39">
        <v>930.1</v>
      </c>
      <c r="F139" s="4" t="s">
        <v>166</v>
      </c>
      <c r="G139" s="191" t="s">
        <v>151</v>
      </c>
      <c r="H139" s="191"/>
      <c r="I139" s="115">
        <f>'[1]залишки  (2)'!$G$9/1000</f>
        <v>13825.22196</v>
      </c>
      <c r="J139" s="192" t="s">
        <v>161</v>
      </c>
      <c r="K139" s="192"/>
      <c r="L139" s="192"/>
      <c r="M139" s="192"/>
      <c r="N139" s="190"/>
      <c r="O139" s="190"/>
    </row>
    <row r="140" spans="3:15" ht="15.75">
      <c r="C140" s="120">
        <v>41753</v>
      </c>
      <c r="D140" s="39">
        <v>1232.1</v>
      </c>
      <c r="G140" s="195" t="s">
        <v>155</v>
      </c>
      <c r="H140" s="195"/>
      <c r="I140" s="112">
        <v>0</v>
      </c>
      <c r="J140" s="196" t="s">
        <v>162</v>
      </c>
      <c r="K140" s="196"/>
      <c r="L140" s="196"/>
      <c r="M140" s="196"/>
      <c r="N140" s="190"/>
      <c r="O140" s="190"/>
    </row>
    <row r="141" spans="7:13" ht="15.75" customHeight="1">
      <c r="G141" s="191" t="s">
        <v>148</v>
      </c>
      <c r="H141" s="191"/>
      <c r="I141" s="112">
        <f>'[1]залишки  (2)'!$G$8/1000</f>
        <v>0</v>
      </c>
      <c r="J141" s="192" t="s">
        <v>163</v>
      </c>
      <c r="K141" s="192"/>
      <c r="L141" s="192"/>
      <c r="M141" s="192"/>
    </row>
    <row r="142" spans="2:13" ht="18.75" customHeight="1">
      <c r="B142" s="197" t="s">
        <v>160</v>
      </c>
      <c r="C142" s="198"/>
      <c r="D142" s="117">
        <f>'[1]залишки  (2)'!$G$6/1000</f>
        <v>122517.60277</v>
      </c>
      <c r="E142" s="80"/>
      <c r="F142" s="100" t="s">
        <v>147</v>
      </c>
      <c r="G142" s="191" t="s">
        <v>149</v>
      </c>
      <c r="H142" s="191"/>
      <c r="I142" s="116">
        <f>'[1]залишки  (2)'!$G$10/1000</f>
        <v>108692.38081</v>
      </c>
      <c r="J142" s="192" t="s">
        <v>164</v>
      </c>
      <c r="K142" s="192"/>
      <c r="L142" s="192"/>
      <c r="M142" s="192"/>
    </row>
    <row r="143" spans="7:12" ht="9.75" customHeight="1">
      <c r="G143" s="199"/>
      <c r="H143" s="199"/>
      <c r="I143" s="98"/>
      <c r="J143" s="99"/>
      <c r="K143" s="99"/>
      <c r="L143" s="99"/>
    </row>
    <row r="144" spans="2:12" ht="22.5" customHeight="1">
      <c r="B144" s="200" t="s">
        <v>169</v>
      </c>
      <c r="C144" s="201"/>
      <c r="D144" s="119">
        <f>'[1]надх'!$B$52/1000</f>
        <v>748.2148900000007</v>
      </c>
      <c r="E144" s="77" t="s">
        <v>104</v>
      </c>
      <c r="G144" s="199"/>
      <c r="H144" s="199"/>
      <c r="I144" s="98"/>
      <c r="J144" s="99"/>
      <c r="K144" s="99"/>
      <c r="L144" s="99"/>
    </row>
    <row r="145" spans="4:15" ht="15.75">
      <c r="D145" s="114"/>
      <c r="N145" s="199"/>
      <c r="O145" s="199"/>
    </row>
    <row r="146" spans="4:15" ht="15.75">
      <c r="D146" s="113"/>
      <c r="I146" s="39"/>
      <c r="N146" s="202"/>
      <c r="O146" s="202"/>
    </row>
    <row r="147" spans="14:15" ht="15.75">
      <c r="N147" s="199"/>
      <c r="O147" s="199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11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64" t="s">
        <v>212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26"/>
      <c r="R1" s="127"/>
    </row>
    <row r="2" spans="2:18" s="1" customFormat="1" ht="15.75" customHeight="1">
      <c r="B2" s="165"/>
      <c r="C2" s="165"/>
      <c r="D2" s="165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6"/>
      <c r="B3" s="168"/>
      <c r="C3" s="169" t="s">
        <v>0</v>
      </c>
      <c r="D3" s="170" t="s">
        <v>208</v>
      </c>
      <c r="E3" s="170"/>
      <c r="F3" s="171" t="s">
        <v>107</v>
      </c>
      <c r="G3" s="172"/>
      <c r="H3" s="172"/>
      <c r="I3" s="172"/>
      <c r="J3" s="172"/>
      <c r="K3" s="172"/>
      <c r="L3" s="173"/>
      <c r="M3" s="174" t="s">
        <v>210</v>
      </c>
      <c r="N3" s="176" t="s">
        <v>198</v>
      </c>
      <c r="O3" s="176"/>
      <c r="P3" s="176"/>
      <c r="Q3" s="176"/>
      <c r="R3" s="176"/>
    </row>
    <row r="4" spans="1:18" ht="22.5" customHeight="1">
      <c r="A4" s="166"/>
      <c r="B4" s="168"/>
      <c r="C4" s="169"/>
      <c r="D4" s="170"/>
      <c r="E4" s="170"/>
      <c r="F4" s="177" t="s">
        <v>116</v>
      </c>
      <c r="G4" s="179" t="s">
        <v>207</v>
      </c>
      <c r="H4" s="163" t="s">
        <v>195</v>
      </c>
      <c r="I4" s="181" t="s">
        <v>188</v>
      </c>
      <c r="J4" s="183" t="s">
        <v>189</v>
      </c>
      <c r="K4" s="185" t="s">
        <v>196</v>
      </c>
      <c r="L4" s="186"/>
      <c r="M4" s="175"/>
      <c r="N4" s="193" t="s">
        <v>213</v>
      </c>
      <c r="O4" s="181" t="s">
        <v>136</v>
      </c>
      <c r="P4" s="181" t="s">
        <v>135</v>
      </c>
      <c r="Q4" s="185" t="s">
        <v>197</v>
      </c>
      <c r="R4" s="186"/>
    </row>
    <row r="5" spans="1:18" ht="82.5" customHeight="1">
      <c r="A5" s="167"/>
      <c r="B5" s="168"/>
      <c r="C5" s="169"/>
      <c r="D5" s="150" t="s">
        <v>209</v>
      </c>
      <c r="E5" s="158" t="s">
        <v>214</v>
      </c>
      <c r="F5" s="178"/>
      <c r="G5" s="162"/>
      <c r="H5" s="180"/>
      <c r="I5" s="182"/>
      <c r="J5" s="184"/>
      <c r="K5" s="187"/>
      <c r="L5" s="188"/>
      <c r="M5" s="151" t="s">
        <v>211</v>
      </c>
      <c r="N5" s="194"/>
      <c r="O5" s="182"/>
      <c r="P5" s="182"/>
      <c r="Q5" s="187"/>
      <c r="R5" s="18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172.6</v>
      </c>
      <c r="G102" s="144"/>
      <c r="H102" s="146"/>
      <c r="I102" s="145"/>
      <c r="J102" s="145"/>
      <c r="K102" s="148">
        <f>F102-88.6</f>
        <v>84</v>
      </c>
      <c r="L102" s="149">
        <f>F102/88.6</f>
        <v>1.9480812641083523</v>
      </c>
      <c r="M102" s="40">
        <f>E102-лютий!E102</f>
        <v>0</v>
      </c>
      <c r="N102" s="40">
        <f>F102-лютий!F102</f>
        <v>42.5</v>
      </c>
      <c r="O102" s="53"/>
      <c r="P102" s="60"/>
      <c r="Q102" s="60">
        <f>N102-31.4</f>
        <v>11.100000000000001</v>
      </c>
      <c r="R102" s="135">
        <f>N102/31.4</f>
        <v>1.3535031847133758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9"/>
      <c r="H137" s="189"/>
      <c r="I137" s="189"/>
      <c r="J137" s="18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90"/>
      <c r="O138" s="190"/>
    </row>
    <row r="139" spans="3:15" ht="15.75">
      <c r="C139" s="120">
        <v>41726</v>
      </c>
      <c r="D139" s="39">
        <v>4682.6</v>
      </c>
      <c r="F139" s="4" t="s">
        <v>166</v>
      </c>
      <c r="G139" s="191" t="s">
        <v>151</v>
      </c>
      <c r="H139" s="191"/>
      <c r="I139" s="115">
        <v>13825.22196</v>
      </c>
      <c r="J139" s="192" t="s">
        <v>161</v>
      </c>
      <c r="K139" s="192"/>
      <c r="L139" s="192"/>
      <c r="M139" s="192"/>
      <c r="N139" s="190"/>
      <c r="O139" s="190"/>
    </row>
    <row r="140" spans="3:15" ht="15.75">
      <c r="C140" s="120">
        <v>41725</v>
      </c>
      <c r="D140" s="39">
        <v>3360.7</v>
      </c>
      <c r="G140" s="195" t="s">
        <v>155</v>
      </c>
      <c r="H140" s="195"/>
      <c r="I140" s="112">
        <v>0</v>
      </c>
      <c r="J140" s="196" t="s">
        <v>162</v>
      </c>
      <c r="K140" s="196"/>
      <c r="L140" s="196"/>
      <c r="M140" s="196"/>
      <c r="N140" s="190"/>
      <c r="O140" s="190"/>
    </row>
    <row r="141" spans="7:13" ht="15.75" customHeight="1">
      <c r="G141" s="191" t="s">
        <v>148</v>
      </c>
      <c r="H141" s="191"/>
      <c r="I141" s="112">
        <v>0</v>
      </c>
      <c r="J141" s="192" t="s">
        <v>163</v>
      </c>
      <c r="K141" s="192"/>
      <c r="L141" s="192"/>
      <c r="M141" s="192"/>
    </row>
    <row r="142" spans="2:13" ht="18.75" customHeight="1">
      <c r="B142" s="197" t="s">
        <v>160</v>
      </c>
      <c r="C142" s="198"/>
      <c r="D142" s="117">
        <v>114985.02570999999</v>
      </c>
      <c r="E142" s="80"/>
      <c r="F142" s="100" t="s">
        <v>147</v>
      </c>
      <c r="G142" s="191" t="s">
        <v>149</v>
      </c>
      <c r="H142" s="191"/>
      <c r="I142" s="116">
        <v>101159.80375</v>
      </c>
      <c r="J142" s="192" t="s">
        <v>164</v>
      </c>
      <c r="K142" s="192"/>
      <c r="L142" s="192"/>
      <c r="M142" s="192"/>
    </row>
    <row r="143" spans="7:12" ht="9.75" customHeight="1">
      <c r="G143" s="199"/>
      <c r="H143" s="199"/>
      <c r="I143" s="98"/>
      <c r="J143" s="99"/>
      <c r="K143" s="99"/>
      <c r="L143" s="99"/>
    </row>
    <row r="144" spans="2:12" ht="22.5" customHeight="1">
      <c r="B144" s="200" t="s">
        <v>169</v>
      </c>
      <c r="C144" s="201"/>
      <c r="D144" s="119">
        <v>3918.1</v>
      </c>
      <c r="E144" s="77" t="s">
        <v>104</v>
      </c>
      <c r="G144" s="199"/>
      <c r="H144" s="199"/>
      <c r="I144" s="98"/>
      <c r="J144" s="99"/>
      <c r="K144" s="99"/>
      <c r="L144" s="99"/>
    </row>
    <row r="145" spans="4:15" ht="15.75">
      <c r="D145" s="114"/>
      <c r="N145" s="199"/>
      <c r="O145" s="199"/>
    </row>
    <row r="146" spans="4:15" ht="15.75">
      <c r="D146" s="113"/>
      <c r="I146" s="39"/>
      <c r="N146" s="202"/>
      <c r="O146" s="202"/>
    </row>
    <row r="147" spans="14:15" ht="15.75">
      <c r="N147" s="199"/>
      <c r="O147" s="199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11" sqref="F11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64" t="s">
        <v>193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26"/>
      <c r="R1" s="127"/>
    </row>
    <row r="2" spans="2:18" s="1" customFormat="1" ht="15.75" customHeight="1">
      <c r="B2" s="165"/>
      <c r="C2" s="165"/>
      <c r="D2" s="165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6"/>
      <c r="B3" s="168"/>
      <c r="C3" s="169" t="s">
        <v>0</v>
      </c>
      <c r="D3" s="212" t="s">
        <v>187</v>
      </c>
      <c r="E3" s="46"/>
      <c r="F3" s="213" t="s">
        <v>107</v>
      </c>
      <c r="G3" s="214"/>
      <c r="H3" s="214"/>
      <c r="I3" s="214"/>
      <c r="J3" s="215"/>
      <c r="K3" s="123"/>
      <c r="L3" s="123"/>
      <c r="M3" s="216" t="s">
        <v>190</v>
      </c>
      <c r="N3" s="207" t="s">
        <v>185</v>
      </c>
      <c r="O3" s="207"/>
      <c r="P3" s="207"/>
      <c r="Q3" s="207"/>
      <c r="R3" s="207"/>
    </row>
    <row r="4" spans="1:18" ht="22.5" customHeight="1">
      <c r="A4" s="166"/>
      <c r="B4" s="168"/>
      <c r="C4" s="169"/>
      <c r="D4" s="212"/>
      <c r="E4" s="217" t="s">
        <v>191</v>
      </c>
      <c r="F4" s="208" t="s">
        <v>116</v>
      </c>
      <c r="G4" s="210" t="s">
        <v>167</v>
      </c>
      <c r="H4" s="163" t="s">
        <v>168</v>
      </c>
      <c r="I4" s="205" t="s">
        <v>188</v>
      </c>
      <c r="J4" s="203" t="s">
        <v>189</v>
      </c>
      <c r="K4" s="125" t="s">
        <v>174</v>
      </c>
      <c r="L4" s="130" t="s">
        <v>173</v>
      </c>
      <c r="M4" s="216"/>
      <c r="N4" s="193" t="s">
        <v>194</v>
      </c>
      <c r="O4" s="205" t="s">
        <v>136</v>
      </c>
      <c r="P4" s="207" t="s">
        <v>135</v>
      </c>
      <c r="Q4" s="131" t="s">
        <v>174</v>
      </c>
      <c r="R4" s="132" t="s">
        <v>173</v>
      </c>
    </row>
    <row r="5" spans="1:18" ht="82.5" customHeight="1">
      <c r="A5" s="167"/>
      <c r="B5" s="168"/>
      <c r="C5" s="169"/>
      <c r="D5" s="212"/>
      <c r="E5" s="218"/>
      <c r="F5" s="209"/>
      <c r="G5" s="211"/>
      <c r="H5" s="180"/>
      <c r="I5" s="206"/>
      <c r="J5" s="204"/>
      <c r="K5" s="187" t="s">
        <v>184</v>
      </c>
      <c r="L5" s="188"/>
      <c r="M5" s="216"/>
      <c r="N5" s="194"/>
      <c r="O5" s="206"/>
      <c r="P5" s="207"/>
      <c r="Q5" s="187" t="s">
        <v>199</v>
      </c>
      <c r="R5" s="18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130.1</v>
      </c>
      <c r="G102" s="144"/>
      <c r="H102" s="146"/>
      <c r="I102" s="145"/>
      <c r="J102" s="145"/>
      <c r="K102" s="148">
        <f>F102-54.4</f>
        <v>75.69999999999999</v>
      </c>
      <c r="L102" s="149">
        <f>F102/54.4</f>
        <v>2.391544117647059</v>
      </c>
      <c r="M102" s="146">
        <f>E102-'січень '!E102</f>
        <v>0</v>
      </c>
      <c r="N102" s="146">
        <f>F102-'січень '!F102</f>
        <v>65.19999999999999</v>
      </c>
      <c r="O102" s="53"/>
      <c r="P102" s="60"/>
      <c r="Q102" s="60">
        <f>N102-26.6</f>
        <v>38.59999999999999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9"/>
      <c r="H137" s="189"/>
      <c r="I137" s="189"/>
      <c r="J137" s="18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90"/>
      <c r="O138" s="190"/>
    </row>
    <row r="139" spans="3:15" ht="15.75">
      <c r="C139" s="120">
        <v>41697</v>
      </c>
      <c r="D139" s="39">
        <v>2276.8</v>
      </c>
      <c r="F139" s="4" t="s">
        <v>166</v>
      </c>
      <c r="G139" s="191" t="s">
        <v>151</v>
      </c>
      <c r="H139" s="191"/>
      <c r="I139" s="115">
        <v>13825.22</v>
      </c>
      <c r="J139" s="192" t="s">
        <v>161</v>
      </c>
      <c r="K139" s="192"/>
      <c r="L139" s="192"/>
      <c r="M139" s="192"/>
      <c r="N139" s="190"/>
      <c r="O139" s="190"/>
    </row>
    <row r="140" spans="3:15" ht="15.75">
      <c r="C140" s="120">
        <v>41696</v>
      </c>
      <c r="D140" s="39">
        <v>3746.1</v>
      </c>
      <c r="G140" s="195" t="s">
        <v>155</v>
      </c>
      <c r="H140" s="195"/>
      <c r="I140" s="112">
        <v>0</v>
      </c>
      <c r="J140" s="196" t="s">
        <v>162</v>
      </c>
      <c r="K140" s="196"/>
      <c r="L140" s="196"/>
      <c r="M140" s="196"/>
      <c r="N140" s="190"/>
      <c r="O140" s="190"/>
    </row>
    <row r="141" spans="7:13" ht="15.75" customHeight="1">
      <c r="G141" s="191" t="s">
        <v>148</v>
      </c>
      <c r="H141" s="191"/>
      <c r="I141" s="112">
        <f>'[1]залишки  (2)'!$G$8/1000</f>
        <v>0</v>
      </c>
      <c r="J141" s="192" t="s">
        <v>163</v>
      </c>
      <c r="K141" s="192"/>
      <c r="L141" s="192"/>
      <c r="M141" s="192"/>
    </row>
    <row r="142" spans="2:13" ht="18.75" customHeight="1">
      <c r="B142" s="197" t="s">
        <v>160</v>
      </c>
      <c r="C142" s="198"/>
      <c r="D142" s="117">
        <v>121970.53</v>
      </c>
      <c r="E142" s="80"/>
      <c r="F142" s="100" t="s">
        <v>147</v>
      </c>
      <c r="G142" s="191" t="s">
        <v>149</v>
      </c>
      <c r="H142" s="191"/>
      <c r="I142" s="116">
        <v>108145.31</v>
      </c>
      <c r="J142" s="192" t="s">
        <v>164</v>
      </c>
      <c r="K142" s="192"/>
      <c r="L142" s="192"/>
      <c r="M142" s="192"/>
    </row>
    <row r="143" spans="7:12" ht="9.75" customHeight="1">
      <c r="G143" s="199"/>
      <c r="H143" s="199"/>
      <c r="I143" s="98"/>
      <c r="J143" s="99"/>
      <c r="K143" s="99"/>
      <c r="L143" s="99"/>
    </row>
    <row r="144" spans="2:12" ht="22.5" customHeight="1">
      <c r="B144" s="200" t="s">
        <v>169</v>
      </c>
      <c r="C144" s="201"/>
      <c r="D144" s="119">
        <v>0</v>
      </c>
      <c r="E144" s="77" t="s">
        <v>104</v>
      </c>
      <c r="G144" s="199"/>
      <c r="H144" s="199"/>
      <c r="I144" s="98"/>
      <c r="J144" s="99"/>
      <c r="K144" s="99"/>
      <c r="L144" s="99"/>
    </row>
    <row r="145" spans="4:15" ht="15.75">
      <c r="D145" s="114"/>
      <c r="N145" s="199"/>
      <c r="O145" s="199"/>
    </row>
    <row r="146" spans="4:15" ht="15.75">
      <c r="D146" s="113"/>
      <c r="I146" s="39"/>
      <c r="N146" s="202"/>
      <c r="O146" s="202"/>
    </row>
    <row r="147" spans="14:15" ht="15.75">
      <c r="N147" s="199"/>
      <c r="O147" s="199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64" t="s">
        <v>183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26"/>
      <c r="R1" s="127"/>
    </row>
    <row r="2" spans="2:18" s="1" customFormat="1" ht="15.75" customHeight="1">
      <c r="B2" s="165"/>
      <c r="C2" s="165"/>
      <c r="D2" s="165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6"/>
      <c r="B3" s="168"/>
      <c r="C3" s="169" t="s">
        <v>0</v>
      </c>
      <c r="D3" s="212" t="s">
        <v>192</v>
      </c>
      <c r="E3" s="46"/>
      <c r="F3" s="213" t="s">
        <v>107</v>
      </c>
      <c r="G3" s="214"/>
      <c r="H3" s="214"/>
      <c r="I3" s="214"/>
      <c r="J3" s="215"/>
      <c r="K3" s="123"/>
      <c r="L3" s="123"/>
      <c r="M3" s="183" t="s">
        <v>200</v>
      </c>
      <c r="N3" s="207" t="s">
        <v>178</v>
      </c>
      <c r="O3" s="207"/>
      <c r="P3" s="207"/>
      <c r="Q3" s="207"/>
      <c r="R3" s="207"/>
    </row>
    <row r="4" spans="1:18" ht="22.5" customHeight="1">
      <c r="A4" s="166"/>
      <c r="B4" s="168"/>
      <c r="C4" s="169"/>
      <c r="D4" s="212"/>
      <c r="E4" s="217" t="s">
        <v>153</v>
      </c>
      <c r="F4" s="208" t="s">
        <v>116</v>
      </c>
      <c r="G4" s="210" t="s">
        <v>175</v>
      </c>
      <c r="H4" s="163" t="s">
        <v>176</v>
      </c>
      <c r="I4" s="205" t="s">
        <v>188</v>
      </c>
      <c r="J4" s="203" t="s">
        <v>189</v>
      </c>
      <c r="K4" s="125" t="s">
        <v>174</v>
      </c>
      <c r="L4" s="130" t="s">
        <v>173</v>
      </c>
      <c r="M4" s="219"/>
      <c r="N4" s="193" t="s">
        <v>186</v>
      </c>
      <c r="O4" s="205" t="s">
        <v>136</v>
      </c>
      <c r="P4" s="207" t="s">
        <v>135</v>
      </c>
      <c r="Q4" s="131" t="s">
        <v>174</v>
      </c>
      <c r="R4" s="132" t="s">
        <v>173</v>
      </c>
    </row>
    <row r="5" spans="1:18" ht="82.5" customHeight="1">
      <c r="A5" s="167"/>
      <c r="B5" s="168"/>
      <c r="C5" s="169"/>
      <c r="D5" s="212"/>
      <c r="E5" s="218"/>
      <c r="F5" s="209"/>
      <c r="G5" s="211"/>
      <c r="H5" s="180"/>
      <c r="I5" s="206"/>
      <c r="J5" s="204"/>
      <c r="K5" s="187" t="s">
        <v>177</v>
      </c>
      <c r="L5" s="188"/>
      <c r="M5" s="184"/>
      <c r="N5" s="194"/>
      <c r="O5" s="206"/>
      <c r="P5" s="207"/>
      <c r="Q5" s="187" t="s">
        <v>179</v>
      </c>
      <c r="R5" s="18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</v>
      </c>
      <c r="G102" s="144"/>
      <c r="H102" s="146"/>
      <c r="I102" s="145"/>
      <c r="J102" s="145"/>
      <c r="K102" s="145">
        <f>F102-30.6</f>
        <v>34.300000000000004</v>
      </c>
      <c r="L102" s="148">
        <f>F102/30.6*100</f>
        <v>212.09150326797385</v>
      </c>
      <c r="M102" s="40">
        <f t="shared" si="39"/>
        <v>0</v>
      </c>
      <c r="N102" s="40">
        <f t="shared" si="40"/>
        <v>64.9</v>
      </c>
      <c r="O102" s="53"/>
      <c r="P102" s="56"/>
      <c r="Q102" s="56">
        <f>N102-30.6</f>
        <v>34.300000000000004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9"/>
      <c r="H137" s="189"/>
      <c r="I137" s="189"/>
      <c r="J137" s="18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90"/>
      <c r="O138" s="190"/>
    </row>
    <row r="139" spans="3:15" ht="15.75">
      <c r="C139" s="120">
        <v>41669</v>
      </c>
      <c r="D139" s="39">
        <v>4752.2</v>
      </c>
      <c r="F139" s="4" t="s">
        <v>166</v>
      </c>
      <c r="G139" s="191" t="s">
        <v>151</v>
      </c>
      <c r="H139" s="191"/>
      <c r="I139" s="115">
        <v>13825.22</v>
      </c>
      <c r="J139" s="192" t="s">
        <v>161</v>
      </c>
      <c r="K139" s="192"/>
      <c r="L139" s="192"/>
      <c r="M139" s="192"/>
      <c r="N139" s="190"/>
      <c r="O139" s="190"/>
    </row>
    <row r="140" spans="3:15" ht="15.75">
      <c r="C140" s="120">
        <v>41668</v>
      </c>
      <c r="D140" s="39">
        <v>1984.7</v>
      </c>
      <c r="G140" s="195" t="s">
        <v>155</v>
      </c>
      <c r="H140" s="195"/>
      <c r="I140" s="112">
        <v>0</v>
      </c>
      <c r="J140" s="196" t="s">
        <v>162</v>
      </c>
      <c r="K140" s="196"/>
      <c r="L140" s="196"/>
      <c r="M140" s="196"/>
      <c r="N140" s="190"/>
      <c r="O140" s="190"/>
    </row>
    <row r="141" spans="7:13" ht="15.75" customHeight="1">
      <c r="G141" s="191" t="s">
        <v>148</v>
      </c>
      <c r="H141" s="191"/>
      <c r="I141" s="112">
        <v>0</v>
      </c>
      <c r="J141" s="192" t="s">
        <v>163</v>
      </c>
      <c r="K141" s="192"/>
      <c r="L141" s="192"/>
      <c r="M141" s="192"/>
    </row>
    <row r="142" spans="2:13" ht="18.75" customHeight="1">
      <c r="B142" s="197" t="s">
        <v>160</v>
      </c>
      <c r="C142" s="198"/>
      <c r="D142" s="117">
        <v>111410.62</v>
      </c>
      <c r="E142" s="80"/>
      <c r="F142" s="100" t="s">
        <v>147</v>
      </c>
      <c r="G142" s="191" t="s">
        <v>149</v>
      </c>
      <c r="H142" s="191"/>
      <c r="I142" s="116">
        <v>97585.4</v>
      </c>
      <c r="J142" s="192" t="s">
        <v>164</v>
      </c>
      <c r="K142" s="192"/>
      <c r="L142" s="192"/>
      <c r="M142" s="192"/>
    </row>
    <row r="143" spans="7:12" ht="9.75" customHeight="1">
      <c r="G143" s="199"/>
      <c r="H143" s="199"/>
      <c r="I143" s="98"/>
      <c r="J143" s="99"/>
      <c r="K143" s="99"/>
      <c r="L143" s="99"/>
    </row>
    <row r="144" spans="2:12" ht="22.5" customHeight="1">
      <c r="B144" s="200" t="s">
        <v>169</v>
      </c>
      <c r="C144" s="201"/>
      <c r="D144" s="119">
        <v>0</v>
      </c>
      <c r="E144" s="77" t="s">
        <v>104</v>
      </c>
      <c r="G144" s="199"/>
      <c r="H144" s="199"/>
      <c r="I144" s="98"/>
      <c r="J144" s="99"/>
      <c r="K144" s="99"/>
      <c r="L144" s="99"/>
    </row>
    <row r="145" spans="4:15" ht="15.75">
      <c r="D145" s="114"/>
      <c r="N145" s="199"/>
      <c r="O145" s="199"/>
    </row>
    <row r="146" spans="4:15" ht="15.75">
      <c r="D146" s="113"/>
      <c r="I146" s="39"/>
      <c r="N146" s="202"/>
      <c r="O146" s="202"/>
    </row>
    <row r="147" spans="14:15" ht="15.75">
      <c r="N147" s="199"/>
      <c r="O147" s="199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2014-04-29T10:26:36Z</cp:lastPrinted>
  <dcterms:created xsi:type="dcterms:W3CDTF">2003-07-28T11:27:56Z</dcterms:created>
  <dcterms:modified xsi:type="dcterms:W3CDTF">2014-04-29T10:32:46Z</dcterms:modified>
  <cp:category/>
  <cp:version/>
  <cp:contentType/>
  <cp:contentStatus/>
</cp:coreProperties>
</file>